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For Blain\"/>
    </mc:Choice>
  </mc:AlternateContent>
  <xr:revisionPtr revIDLastSave="0" documentId="8_{0C668E1A-8C8C-4CE6-B055-BC3B04A0CD92}" xr6:coauthVersionLast="36" xr6:coauthVersionMax="36" xr10:uidLastSave="{00000000-0000-0000-0000-000000000000}"/>
  <workbookProtection workbookAlgorithmName="SHA-512" workbookHashValue="prdx0hbtS4/FNtyWMHatqKAJIx88jrilSEd2aEJ1naIr0ph3lHdmzKXltbP4omEZS8tgiV1/U2ueV2jtHh9W5Q==" workbookSaltValue="ozWRaGoOAdDIQA3R2RAzzw==" workbookSpinCount="100000" lockStructure="1"/>
  <bookViews>
    <workbookView xWindow="0" yWindow="0" windowWidth="28800" windowHeight="11085" xr2:uid="{00000000-000D-0000-FFFF-FFFF00000000}"/>
  </bookViews>
  <sheets>
    <sheet name="SchoolLevyBudget" sheetId="6" r:id="rId1"/>
    <sheet name="Data" sheetId="7" r:id="rId2"/>
  </sheets>
  <definedNames>
    <definedName name="_xlnm.Print_Area" localSheetId="1">Data!$E$1:$L$22</definedName>
    <definedName name="_xlnm.Print_Area" localSheetId="0">SchoolLevyBudget!$A$4:$H$31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1" i="7"/>
  <c r="F22" i="7"/>
  <c r="F21" i="7"/>
  <c r="F20" i="7"/>
  <c r="F19" i="7"/>
  <c r="F18" i="7"/>
  <c r="F17" i="7"/>
  <c r="F14" i="7"/>
  <c r="F15" i="7"/>
  <c r="F13" i="7"/>
  <c r="G12" i="7"/>
  <c r="H12" i="7"/>
  <c r="I12" i="7"/>
  <c r="J12" i="7"/>
  <c r="K12" i="7"/>
  <c r="L12" i="7"/>
  <c r="G11" i="7"/>
  <c r="H11" i="7"/>
  <c r="I11" i="7"/>
  <c r="J11" i="7"/>
  <c r="K11" i="7"/>
  <c r="L11" i="7"/>
  <c r="G10" i="7"/>
  <c r="H10" i="7"/>
  <c r="I10" i="7"/>
  <c r="J10" i="7"/>
  <c r="K10" i="7"/>
  <c r="L10" i="7"/>
  <c r="G9" i="7"/>
  <c r="H9" i="7"/>
  <c r="I9" i="7"/>
  <c r="J9" i="7"/>
  <c r="K9" i="7"/>
  <c r="L9" i="7"/>
  <c r="G8" i="7"/>
  <c r="H8" i="7"/>
  <c r="I8" i="7"/>
  <c r="J8" i="7"/>
  <c r="K8" i="7"/>
  <c r="L8" i="7"/>
  <c r="G7" i="7"/>
  <c r="H7" i="7"/>
  <c r="I7" i="7"/>
  <c r="J7" i="7"/>
  <c r="K7" i="7"/>
  <c r="L7" i="7"/>
  <c r="G6" i="7"/>
  <c r="H6" i="7"/>
  <c r="I6" i="7"/>
  <c r="J6" i="7"/>
  <c r="K6" i="7"/>
  <c r="L6" i="7"/>
  <c r="G5" i="7"/>
  <c r="H5" i="7"/>
  <c r="I5" i="7"/>
  <c r="J5" i="7"/>
  <c r="K5" i="7"/>
  <c r="L5" i="7"/>
  <c r="G4" i="7"/>
  <c r="H4" i="7"/>
  <c r="I4" i="7"/>
  <c r="J4" i="7"/>
  <c r="K4" i="7"/>
  <c r="L4" i="7"/>
  <c r="G3" i="7"/>
  <c r="H3" i="7"/>
  <c r="I3" i="7"/>
  <c r="J3" i="7"/>
  <c r="K3" i="7"/>
  <c r="L3" i="7"/>
  <c r="K2" i="7"/>
  <c r="L2" i="7"/>
  <c r="G2" i="7"/>
  <c r="H2" i="7"/>
  <c r="I2" i="7"/>
  <c r="J2" i="7"/>
  <c r="F12" i="7"/>
  <c r="F11" i="7"/>
  <c r="F10" i="7"/>
  <c r="F9" i="7"/>
  <c r="F8" i="7"/>
  <c r="F7" i="7"/>
  <c r="F6" i="7"/>
  <c r="F5" i="7"/>
  <c r="F4" i="7"/>
  <c r="F3" i="7"/>
  <c r="F2" i="7"/>
  <c r="G1" i="7"/>
  <c r="F1" i="7"/>
  <c r="C22" i="7" l="1"/>
  <c r="C21" i="7"/>
  <c r="C20" i="7"/>
  <c r="C19" i="7"/>
  <c r="C18" i="7"/>
  <c r="C17" i="7"/>
  <c r="C16" i="7"/>
  <c r="C15" i="7"/>
  <c r="C14" i="7"/>
  <c r="C13" i="7"/>
  <c r="C12" i="7"/>
  <c r="C4" i="7"/>
  <c r="C5" i="7"/>
  <c r="C6" i="7"/>
  <c r="C7" i="7"/>
  <c r="C8" i="7"/>
  <c r="C9" i="7"/>
  <c r="C10" i="7"/>
  <c r="C11" i="7"/>
  <c r="C3" i="7"/>
  <c r="C2" i="7"/>
  <c r="C1" i="7"/>
  <c r="E18" i="7"/>
  <c r="E17" i="7"/>
  <c r="E15" i="7"/>
  <c r="E14" i="7"/>
  <c r="E12" i="7"/>
  <c r="E11" i="7"/>
  <c r="E10" i="7"/>
  <c r="E9" i="7"/>
  <c r="E8" i="7"/>
  <c r="E7" i="7"/>
  <c r="E6" i="7"/>
  <c r="E5" i="7"/>
  <c r="E4" i="7"/>
  <c r="E3" i="7"/>
  <c r="E2" i="7"/>
  <c r="E20" i="7"/>
  <c r="C5" i="6"/>
  <c r="B5" i="6"/>
  <c r="B25" i="6"/>
  <c r="E16" i="7" s="1"/>
  <c r="F16" i="7"/>
  <c r="H25" i="6"/>
  <c r="H20" i="6"/>
  <c r="G20" i="6"/>
  <c r="F20" i="6"/>
  <c r="E20" i="6"/>
  <c r="D20" i="6"/>
  <c r="C20" i="6"/>
  <c r="B20" i="6"/>
  <c r="D6" i="6"/>
  <c r="F8" i="6" l="1"/>
  <c r="G8" i="6"/>
  <c r="H8" i="6"/>
  <c r="A6" i="6"/>
  <c r="E1" i="7" s="1"/>
  <c r="B22" i="6"/>
  <c r="E13" i="7" s="1"/>
  <c r="B28" i="6"/>
  <c r="E19" i="7" s="1"/>
  <c r="B30" i="6"/>
  <c r="E21" i="7" s="1"/>
  <c r="B31" i="6"/>
  <c r="E22" i="7" s="1"/>
  <c r="B8" i="6"/>
  <c r="C8" i="6"/>
  <c r="D8" i="6"/>
  <c r="A29" i="6"/>
  <c r="E8" i="6"/>
</calcChain>
</file>

<file path=xl/sharedStrings.xml><?xml version="1.0" encoding="utf-8"?>
<sst xmlns="http://schemas.openxmlformats.org/spreadsheetml/2006/main" count="30" uniqueCount="30">
  <si>
    <t>School District Summary Budget Information</t>
  </si>
  <si>
    <t>General Fund/Restricted</t>
  </si>
  <si>
    <t>General Fund/Other</t>
  </si>
  <si>
    <t>Food Service Fund</t>
  </si>
  <si>
    <t>Community Service Fund</t>
  </si>
  <si>
    <t>Building Construction Fund</t>
  </si>
  <si>
    <t>Debt Service Fund</t>
  </si>
  <si>
    <t>Trust Fund</t>
  </si>
  <si>
    <t>Internal Service Fund</t>
  </si>
  <si>
    <t>OPEB Irrevocable Trust Fund</t>
  </si>
  <si>
    <t>OPEB Debt Service Fund</t>
  </si>
  <si>
    <t>* OPEB Revocable Trust Fund</t>
  </si>
  <si>
    <t>Fund</t>
  </si>
  <si>
    <t>Total - All Funds</t>
  </si>
  <si>
    <t>Total Operating Expenditures</t>
  </si>
  <si>
    <t>Current Statutory Operating Debt</t>
  </si>
  <si>
    <t>Certificates of Indebtedness</t>
  </si>
  <si>
    <t>Other Short-Term Indebtedness</t>
  </si>
  <si>
    <t>Long-Term Debt</t>
  </si>
  <si>
    <t>Short-Term Debt</t>
  </si>
  <si>
    <t>Plus:  New Issues</t>
  </si>
  <si>
    <t>Less:  Redeemed Issues</t>
  </si>
  <si>
    <t>School District Levy Information</t>
  </si>
  <si>
    <t>Percent Change</t>
  </si>
  <si>
    <t xml:space="preserve">Input ISD# / Name </t>
  </si>
  <si>
    <t>ISD Prior Year</t>
  </si>
  <si>
    <t>ISD Current Year</t>
  </si>
  <si>
    <t>Current Levy Yr</t>
  </si>
  <si>
    <t>Proposed Levy Yr</t>
  </si>
  <si>
    <t>Ortonville Public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</si>
</sst>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#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11"/>
      <color theme="1"/>
      <name val="Courier New"/>
      <family val="3"/>
    </font>
    <font>
      <b/>
      <sz val="16"/>
      <color theme="0"/>
      <name val="Courier New"/>
      <family val="3"/>
    </font>
    <font>
      <sz val="12"/>
      <color theme="1"/>
      <name val="Courier New"/>
      <family val="3"/>
    </font>
    <font>
      <b/>
      <sz val="12"/>
      <color theme="0"/>
      <name val="Courier New"/>
      <family val="3"/>
    </font>
    <font>
      <b/>
      <sz val="11"/>
      <color theme="1"/>
      <name val="Courier New"/>
      <family val="3"/>
    </font>
    <font>
      <b/>
      <sz val="10"/>
      <name val="Courier New"/>
      <family val="3"/>
    </font>
    <font>
      <b/>
      <sz val="12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472F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Border="1"/>
    <xf numFmtId="0" fontId="5" fillId="0" borderId="12" xfId="0" applyFont="1" applyBorder="1"/>
    <xf numFmtId="0" fontId="5" fillId="0" borderId="0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2" xfId="0" applyFont="1" applyBorder="1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 applyProtection="1">
      <alignment vertical="center"/>
      <protection locked="0"/>
    </xf>
    <xf numFmtId="164" fontId="1" fillId="0" borderId="15" xfId="0" applyNumberFormat="1" applyFont="1" applyBorder="1" applyAlignment="1" applyProtection="1">
      <alignment vertical="center"/>
      <protection locked="0"/>
    </xf>
    <xf numFmtId="164" fontId="1" fillId="0" borderId="16" xfId="0" applyNumberFormat="1" applyFont="1" applyBorder="1" applyAlignment="1" applyProtection="1">
      <alignment vertical="center"/>
      <protection locked="0"/>
    </xf>
    <xf numFmtId="164" fontId="1" fillId="4" borderId="16" xfId="0" applyNumberFormat="1" applyFont="1" applyFill="1" applyBorder="1" applyAlignment="1" applyProtection="1">
      <alignment vertical="center"/>
      <protection locked="0"/>
    </xf>
    <xf numFmtId="164" fontId="1" fillId="4" borderId="25" xfId="0" applyNumberFormat="1" applyFont="1" applyFill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vertical="center"/>
      <protection locked="0"/>
    </xf>
    <xf numFmtId="0" fontId="7" fillId="3" borderId="11" xfId="0" applyFont="1" applyFill="1" applyBorder="1" applyAlignment="1">
      <alignment horizontal="center"/>
    </xf>
    <xf numFmtId="0" fontId="3" fillId="0" borderId="11" xfId="0" applyFont="1" applyBorder="1"/>
    <xf numFmtId="0" fontId="7" fillId="3" borderId="9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164" fontId="1" fillId="4" borderId="0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164" fontId="2" fillId="3" borderId="7" xfId="0" applyNumberFormat="1" applyFont="1" applyFill="1" applyBorder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indent="1"/>
    </xf>
    <xf numFmtId="0" fontId="1" fillId="4" borderId="11" xfId="0" applyFont="1" applyFill="1" applyBorder="1" applyAlignment="1">
      <alignment horizontal="left" vertical="center" indent="1"/>
    </xf>
    <xf numFmtId="164" fontId="1" fillId="0" borderId="12" xfId="0" applyNumberFormat="1" applyFont="1" applyBorder="1" applyAlignment="1" applyProtection="1">
      <alignment vertical="center"/>
      <protection locked="0"/>
    </xf>
    <xf numFmtId="164" fontId="1" fillId="4" borderId="12" xfId="0" applyNumberFormat="1" applyFont="1" applyFill="1" applyBorder="1" applyAlignment="1" applyProtection="1">
      <alignment vertical="center"/>
      <protection locked="0"/>
    </xf>
    <xf numFmtId="164" fontId="1" fillId="0" borderId="12" xfId="0" applyNumberFormat="1" applyFont="1" applyFill="1" applyBorder="1" applyAlignment="1" applyProtection="1">
      <alignment vertical="center"/>
      <protection locked="0"/>
    </xf>
    <xf numFmtId="164" fontId="1" fillId="4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Protection="1"/>
    <xf numFmtId="0" fontId="5" fillId="0" borderId="8" xfId="0" applyFont="1" applyFill="1" applyBorder="1" applyProtection="1"/>
    <xf numFmtId="0" fontId="1" fillId="0" borderId="8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17" xfId="0" applyNumberFormat="1" applyFont="1" applyBorder="1" applyAlignment="1" applyProtection="1">
      <alignment vertical="center"/>
    </xf>
    <xf numFmtId="0" fontId="9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right"/>
    </xf>
    <xf numFmtId="166" fontId="5" fillId="0" borderId="0" xfId="0" applyNumberFormat="1" applyFont="1" applyAlignment="1" applyProtection="1">
      <alignment horizontal="left"/>
      <protection locked="0"/>
    </xf>
    <xf numFmtId="0" fontId="1" fillId="0" borderId="26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1" fontId="1" fillId="0" borderId="24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right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4" borderId="3" xfId="0" quotePrefix="1" applyFont="1" applyFill="1" applyBorder="1" applyAlignment="1">
      <alignment horizontal="left" vertical="center"/>
    </xf>
    <xf numFmtId="0" fontId="1" fillId="4" borderId="0" xfId="0" quotePrefix="1" applyFont="1" applyFill="1" applyBorder="1" applyAlignment="1">
      <alignment horizontal="left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6FF"/>
      <color rgb="FFCCCCFF"/>
      <color rgb="FF472F97"/>
      <color rgb="FFBF80FF"/>
      <color rgb="FFAA80FF"/>
      <color rgb="FF9966FF"/>
      <color rgb="FF6600CC"/>
      <color rgb="FFEBE6FA"/>
      <color rgb="FFE6E6F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topLeftCell="A10" zoomScaleNormal="100" workbookViewId="0">
      <selection activeCell="C11" sqref="C11"/>
    </sheetView>
  </sheetViews>
  <sheetFormatPr defaultColWidth="9.140625" defaultRowHeight="15.75" x14ac:dyDescent="0.25"/>
  <cols>
    <col min="1" max="1" width="42.85546875" style="1" customWidth="1"/>
    <col min="2" max="2" width="21" style="1" customWidth="1"/>
    <col min="3" max="3" width="23" style="1" customWidth="1"/>
    <col min="4" max="4" width="20" style="1" customWidth="1"/>
    <col min="5" max="5" width="20.42578125" style="1" customWidth="1"/>
    <col min="6" max="6" width="21.28515625" style="1" customWidth="1"/>
    <col min="7" max="7" width="20.28515625" style="1" customWidth="1"/>
    <col min="8" max="8" width="19.85546875" style="1" customWidth="1"/>
    <col min="9" max="16384" width="9.140625" style="1"/>
  </cols>
  <sheetData>
    <row r="1" spans="1:12" ht="16.5" x14ac:dyDescent="0.3">
      <c r="A1" s="57" t="s">
        <v>24</v>
      </c>
      <c r="B1" s="63">
        <v>2903</v>
      </c>
      <c r="C1" s="69" t="s">
        <v>29</v>
      </c>
      <c r="D1" s="69"/>
      <c r="E1" s="69"/>
    </row>
    <row r="2" spans="1:12" ht="16.5" x14ac:dyDescent="0.3">
      <c r="A2" s="57" t="s">
        <v>25</v>
      </c>
      <c r="B2" s="59">
        <v>2021</v>
      </c>
      <c r="C2" s="62" t="s">
        <v>27</v>
      </c>
      <c r="D2" s="59">
        <v>2022</v>
      </c>
      <c r="E2" s="60"/>
    </row>
    <row r="3" spans="1:12" ht="16.5" x14ac:dyDescent="0.3">
      <c r="A3" s="57" t="s">
        <v>26</v>
      </c>
      <c r="B3" s="59">
        <v>2022</v>
      </c>
      <c r="C3" s="62" t="s">
        <v>28</v>
      </c>
      <c r="D3" s="59">
        <v>2023</v>
      </c>
      <c r="E3" s="60"/>
    </row>
    <row r="4" spans="1:12" s="2" customFormat="1" ht="21.75" customHeight="1" x14ac:dyDescent="0.25">
      <c r="A4" s="76" t="s">
        <v>22</v>
      </c>
      <c r="B4" s="77"/>
      <c r="C4" s="77"/>
      <c r="D4" s="77"/>
      <c r="E4" s="77"/>
      <c r="F4" s="77"/>
      <c r="G4" s="77"/>
      <c r="H4" s="78"/>
      <c r="K4" s="1"/>
      <c r="L4" s="1"/>
    </row>
    <row r="5" spans="1:12" s="2" customFormat="1" ht="30" customHeight="1" x14ac:dyDescent="0.25">
      <c r="A5" s="9"/>
      <c r="B5" s="19" t="str">
        <f>D2&amp;" Current Year"</f>
        <v>2022 Current Year</v>
      </c>
      <c r="C5" s="19" t="str">
        <f>D3&amp;" Proposed Year"</f>
        <v>2023 Proposed Year</v>
      </c>
      <c r="D5" s="19" t="s">
        <v>23</v>
      </c>
      <c r="E5" s="3"/>
      <c r="F5" s="3"/>
      <c r="G5" s="3"/>
      <c r="H5" s="10"/>
      <c r="K5" s="1"/>
      <c r="L5" s="1"/>
    </row>
    <row r="6" spans="1:12" ht="24" customHeight="1" x14ac:dyDescent="0.25">
      <c r="A6" s="56" t="str">
        <f>B1&amp;" - "&amp;C1</f>
        <v>2903 - Ortonville Public School District</v>
      </c>
      <c r="B6" s="20">
        <v>1102371</v>
      </c>
      <c r="C6" s="20">
        <v>1098498</v>
      </c>
      <c r="D6" s="11">
        <f>IFERROR(ROUND((C6-B6)/B6,3),0)</f>
        <v>-4.0000000000000001E-3</v>
      </c>
      <c r="E6" s="4"/>
      <c r="F6" s="8"/>
      <c r="G6" s="6"/>
      <c r="H6" s="7"/>
    </row>
    <row r="7" spans="1:12" s="2" customFormat="1" ht="23.25" customHeight="1" x14ac:dyDescent="0.25">
      <c r="A7" s="70" t="s">
        <v>0</v>
      </c>
      <c r="B7" s="71"/>
      <c r="C7" s="71"/>
      <c r="D7" s="71"/>
      <c r="E7" s="71"/>
      <c r="F7" s="71"/>
      <c r="G7" s="71"/>
      <c r="H7" s="72"/>
      <c r="K7" s="1"/>
      <c r="L7" s="1"/>
    </row>
    <row r="8" spans="1:12" ht="45.75" customHeight="1" x14ac:dyDescent="0.3">
      <c r="A8" s="26" t="s">
        <v>12</v>
      </c>
      <c r="B8" s="16" t="str">
        <f>"FY "&amp;B$2&amp;" Beginning Fund Balances"</f>
        <v>FY 2021 Beginning Fund Balances</v>
      </c>
      <c r="C8" s="16" t="str">
        <f>"FY "&amp;B$2&amp; " Actual Revenues and Transfers In"</f>
        <v>FY 2021 Actual Revenues and Transfers In</v>
      </c>
      <c r="D8" s="17" t="str">
        <f>"FY "&amp;B$2&amp;" Actual Expenditures and Trfrs Out"</f>
        <v>FY 2021 Actual Expenditures and Trfrs Out</v>
      </c>
      <c r="E8" s="16" t="str">
        <f>"June 30, "&amp;B$2&amp;" Actual Fund Balances"</f>
        <v>June 30, 2021 Actual Fund Balances</v>
      </c>
      <c r="F8" s="16" t="str">
        <f>"FY "&amp;B$3&amp;" Budget Revenues and Transfers In"</f>
        <v>FY 2022 Budget Revenues and Transfers In</v>
      </c>
      <c r="G8" s="16" t="str">
        <f>"FY "&amp;B$3&amp;" Budget  Expenditures and Trfrs Out"</f>
        <v>FY 2022 Budget  Expenditures and Trfrs Out</v>
      </c>
      <c r="H8" s="18" t="str">
        <f>"June 30, "&amp;B$3&amp;" Projected Fund Balances"</f>
        <v>June 30, 2022 Projected Fund Balances</v>
      </c>
    </row>
    <row r="9" spans="1:12" ht="21" customHeight="1" x14ac:dyDescent="0.25">
      <c r="A9" s="36" t="s">
        <v>1</v>
      </c>
      <c r="B9" s="20">
        <v>396842</v>
      </c>
      <c r="C9" s="20">
        <v>513682</v>
      </c>
      <c r="D9" s="20">
        <v>552837</v>
      </c>
      <c r="E9" s="20">
        <v>357687</v>
      </c>
      <c r="F9" s="20">
        <v>280734</v>
      </c>
      <c r="G9" s="20">
        <v>328423</v>
      </c>
      <c r="H9" s="38">
        <v>309998</v>
      </c>
    </row>
    <row r="10" spans="1:12" ht="21" customHeight="1" x14ac:dyDescent="0.25">
      <c r="A10" s="37" t="s">
        <v>2</v>
      </c>
      <c r="B10" s="32">
        <v>1405418</v>
      </c>
      <c r="C10" s="32">
        <v>7664323</v>
      </c>
      <c r="D10" s="32">
        <v>7605865</v>
      </c>
      <c r="E10" s="32">
        <v>1463876</v>
      </c>
      <c r="F10" s="32">
        <v>6624171</v>
      </c>
      <c r="G10" s="32">
        <v>6653530</v>
      </c>
      <c r="H10" s="39">
        <v>1434517</v>
      </c>
    </row>
    <row r="11" spans="1:12" ht="21" customHeight="1" x14ac:dyDescent="0.25">
      <c r="A11" s="36" t="s">
        <v>3</v>
      </c>
      <c r="B11" s="33">
        <v>39711</v>
      </c>
      <c r="C11" s="33">
        <v>410213</v>
      </c>
      <c r="D11" s="33">
        <v>351058</v>
      </c>
      <c r="E11" s="33">
        <v>98866</v>
      </c>
      <c r="F11" s="33">
        <v>379600</v>
      </c>
      <c r="G11" s="33">
        <v>371775</v>
      </c>
      <c r="H11" s="40">
        <v>106691</v>
      </c>
    </row>
    <row r="12" spans="1:12" ht="21" customHeight="1" x14ac:dyDescent="0.25">
      <c r="A12" s="37" t="s">
        <v>4</v>
      </c>
      <c r="B12" s="32">
        <v>10406</v>
      </c>
      <c r="C12" s="32">
        <v>183806</v>
      </c>
      <c r="D12" s="32">
        <v>210070</v>
      </c>
      <c r="E12" s="32">
        <v>-15858</v>
      </c>
      <c r="F12" s="32">
        <v>172371</v>
      </c>
      <c r="G12" s="32">
        <v>212216</v>
      </c>
      <c r="H12" s="39">
        <v>-55703</v>
      </c>
    </row>
    <row r="13" spans="1:12" ht="21" customHeight="1" x14ac:dyDescent="0.25">
      <c r="A13" s="36" t="s">
        <v>5</v>
      </c>
      <c r="B13" s="33">
        <v>1266130</v>
      </c>
      <c r="C13" s="32">
        <v>2546574</v>
      </c>
      <c r="D13" s="33">
        <v>426102</v>
      </c>
      <c r="E13" s="33">
        <v>3386602</v>
      </c>
      <c r="F13" s="33">
        <v>5000</v>
      </c>
      <c r="G13" s="33">
        <v>2270063</v>
      </c>
      <c r="H13" s="40">
        <v>1121539</v>
      </c>
    </row>
    <row r="14" spans="1:12" ht="21" customHeight="1" x14ac:dyDescent="0.25">
      <c r="A14" s="37" t="s">
        <v>6</v>
      </c>
      <c r="B14" s="32">
        <v>565958</v>
      </c>
      <c r="C14" s="32">
        <v>239437</v>
      </c>
      <c r="D14" s="32">
        <v>176739</v>
      </c>
      <c r="E14" s="32">
        <v>628656</v>
      </c>
      <c r="F14" s="32">
        <v>552264</v>
      </c>
      <c r="G14" s="32">
        <v>593958</v>
      </c>
      <c r="H14" s="39">
        <v>586962</v>
      </c>
    </row>
    <row r="15" spans="1:12" ht="21" customHeight="1" x14ac:dyDescent="0.25">
      <c r="A15" s="36" t="s">
        <v>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40">
        <v>0</v>
      </c>
    </row>
    <row r="16" spans="1:12" ht="21" customHeight="1" x14ac:dyDescent="0.25">
      <c r="A16" s="37" t="s">
        <v>8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9">
        <v>0</v>
      </c>
    </row>
    <row r="17" spans="1:8" ht="21" customHeight="1" x14ac:dyDescent="0.25">
      <c r="A17" s="36" t="s">
        <v>11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40">
        <v>0</v>
      </c>
    </row>
    <row r="18" spans="1:8" ht="21" customHeight="1" x14ac:dyDescent="0.25">
      <c r="A18" s="37" t="s">
        <v>9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9">
        <v>0</v>
      </c>
    </row>
    <row r="19" spans="1:8" ht="21" customHeight="1" x14ac:dyDescent="0.25">
      <c r="A19" s="36" t="s">
        <v>10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40">
        <v>0</v>
      </c>
    </row>
    <row r="20" spans="1:8" ht="23.25" customHeight="1" x14ac:dyDescent="0.25">
      <c r="A20" s="31" t="s">
        <v>13</v>
      </c>
      <c r="B20" s="34">
        <f>IFERROR(SUM(B9:B19),0)</f>
        <v>3684465</v>
      </c>
      <c r="C20" s="34">
        <f t="shared" ref="C20:H20" si="0">IFERROR(SUM(C9:C19),0)</f>
        <v>11558035</v>
      </c>
      <c r="D20" s="34">
        <f t="shared" si="0"/>
        <v>9322671</v>
      </c>
      <c r="E20" s="34">
        <f t="shared" si="0"/>
        <v>5919829</v>
      </c>
      <c r="F20" s="34">
        <f t="shared" si="0"/>
        <v>8014140</v>
      </c>
      <c r="G20" s="34">
        <f t="shared" si="0"/>
        <v>10429965</v>
      </c>
      <c r="H20" s="35">
        <f t="shared" si="0"/>
        <v>3504004</v>
      </c>
    </row>
    <row r="21" spans="1:8" ht="3" customHeight="1" x14ac:dyDescent="0.25">
      <c r="A21" s="27"/>
      <c r="B21" s="12"/>
      <c r="C21" s="12"/>
      <c r="D21" s="12"/>
      <c r="E21" s="12"/>
      <c r="F21" s="12"/>
      <c r="G21" s="12"/>
      <c r="H21" s="13"/>
    </row>
    <row r="22" spans="1:8" ht="21" customHeight="1" x14ac:dyDescent="0.25">
      <c r="A22" s="28" t="s">
        <v>18</v>
      </c>
      <c r="B22" s="14" t="str">
        <f>"Outstanding July 1, "&amp;B$2</f>
        <v>Outstanding July 1, 2021</v>
      </c>
      <c r="C22" s="15"/>
      <c r="D22" s="15"/>
      <c r="E22" s="15"/>
      <c r="F22" s="15"/>
      <c r="G22" s="15"/>
      <c r="H22" s="21">
        <v>1992000</v>
      </c>
    </row>
    <row r="23" spans="1:8" ht="21" customHeight="1" x14ac:dyDescent="0.25">
      <c r="A23" s="29"/>
      <c r="B23" s="79" t="s">
        <v>20</v>
      </c>
      <c r="C23" s="80"/>
      <c r="D23" s="80"/>
      <c r="E23" s="80"/>
      <c r="F23" s="80"/>
      <c r="G23" s="80"/>
      <c r="H23" s="23">
        <v>2725000</v>
      </c>
    </row>
    <row r="24" spans="1:8" ht="21" customHeight="1" x14ac:dyDescent="0.25">
      <c r="A24" s="29"/>
      <c r="B24" s="81" t="s">
        <v>21</v>
      </c>
      <c r="C24" s="82"/>
      <c r="D24" s="82"/>
      <c r="E24" s="82"/>
      <c r="F24" s="82"/>
      <c r="G24" s="82"/>
      <c r="H24" s="22">
        <v>132000</v>
      </c>
    </row>
    <row r="25" spans="1:8" ht="21" customHeight="1" x14ac:dyDescent="0.25">
      <c r="A25" s="30"/>
      <c r="B25" s="83" t="str">
        <f>"Outstanding June 30, "&amp;B$3</f>
        <v>Outstanding June 30, 2022</v>
      </c>
      <c r="C25" s="84"/>
      <c r="D25" s="84"/>
      <c r="E25" s="84"/>
      <c r="F25" s="84"/>
      <c r="G25" s="84"/>
      <c r="H25" s="41">
        <f>IFERROR(H22+H23-H24,0)</f>
        <v>4585000</v>
      </c>
    </row>
    <row r="26" spans="1:8" ht="21" customHeight="1" x14ac:dyDescent="0.25">
      <c r="A26" s="28" t="s">
        <v>19</v>
      </c>
      <c r="B26" s="85" t="s">
        <v>16</v>
      </c>
      <c r="C26" s="86"/>
      <c r="D26" s="86"/>
      <c r="E26" s="86"/>
      <c r="F26" s="86"/>
      <c r="G26" s="86"/>
      <c r="H26" s="22">
        <v>0</v>
      </c>
    </row>
    <row r="27" spans="1:8" ht="21" customHeight="1" x14ac:dyDescent="0.25">
      <c r="A27" s="30"/>
      <c r="B27" s="83" t="s">
        <v>17</v>
      </c>
      <c r="C27" s="84"/>
      <c r="D27" s="84"/>
      <c r="E27" s="84"/>
      <c r="F27" s="84"/>
      <c r="G27" s="84"/>
      <c r="H27" s="23">
        <v>0</v>
      </c>
    </row>
    <row r="28" spans="1:8" ht="21" customHeight="1" x14ac:dyDescent="0.25">
      <c r="A28" s="31" t="s">
        <v>15</v>
      </c>
      <c r="B28" s="87" t="str">
        <f>"Amount of General Fund Deficit, if any, in excess of 2.5% of expenditures 6/30/"&amp;B$2</f>
        <v>Amount of General Fund Deficit, if any, in excess of 2.5% of expenditures 6/30/2021</v>
      </c>
      <c r="C28" s="88"/>
      <c r="D28" s="88"/>
      <c r="E28" s="88"/>
      <c r="F28" s="88"/>
      <c r="G28" s="88"/>
      <c r="H28" s="25">
        <v>0</v>
      </c>
    </row>
    <row r="29" spans="1:8" ht="21" customHeight="1" x14ac:dyDescent="0.25">
      <c r="A29" s="73" t="str">
        <f>"Cost per Student - Average Daily Membership (ADM) 6/30/"&amp;B$2</f>
        <v>Cost per Student - Average Daily Membership (ADM) 6/30/2021</v>
      </c>
      <c r="B29" s="89" t="s">
        <v>14</v>
      </c>
      <c r="C29" s="90"/>
      <c r="D29" s="90"/>
      <c r="E29" s="90"/>
      <c r="F29" s="90"/>
      <c r="G29" s="90"/>
      <c r="H29" s="23">
        <v>7614156</v>
      </c>
    </row>
    <row r="30" spans="1:8" ht="21" customHeight="1" x14ac:dyDescent="0.25">
      <c r="A30" s="74"/>
      <c r="B30" s="85" t="str">
        <f>"FY "&amp;B$2&amp;" Total ADM Served + Tuitioned Out ADM + Adjusted Extended ADM"</f>
        <v>FY 2021 Total ADM Served + Tuitioned Out ADM + Adjusted Extended ADM</v>
      </c>
      <c r="C30" s="86"/>
      <c r="D30" s="86"/>
      <c r="E30" s="86"/>
      <c r="F30" s="86"/>
      <c r="G30" s="86"/>
      <c r="H30" s="22">
        <v>479</v>
      </c>
    </row>
    <row r="31" spans="1:8" ht="21" customHeight="1" thickBot="1" x14ac:dyDescent="0.3">
      <c r="A31" s="75"/>
      <c r="B31" s="91" t="str">
        <f>"FY "&amp;B$2&amp;" Operating Cost per ADM"</f>
        <v>FY 2021 Operating Cost per ADM</v>
      </c>
      <c r="C31" s="92"/>
      <c r="D31" s="92"/>
      <c r="E31" s="92"/>
      <c r="F31" s="92"/>
      <c r="G31" s="92"/>
      <c r="H31" s="24">
        <v>15881</v>
      </c>
    </row>
  </sheetData>
  <sheetProtection algorithmName="SHA-512" hashValue="YVBzOz1RPNwIPooiYfHy9+6clQ7Gh/dyCURn3DmA1tb6Qbih2vewl+a91RibtRMXshtiRINfKJ94XgpUkCXtyw==" saltValue="B2ttIfckndRHCJr9BCQMdg==" spinCount="100000" sheet="1" objects="1" scenarios="1" formatColumns="0" insertColumns="0" selectLockedCells="1" sort="0"/>
  <mergeCells count="13">
    <mergeCell ref="C1:E1"/>
    <mergeCell ref="A7:H7"/>
    <mergeCell ref="A29:A31"/>
    <mergeCell ref="A4:H4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</mergeCells>
  <dataValidations count="7">
    <dataValidation type="whole" allowBlank="1" showInputMessage="1" showErrorMessage="1" sqref="H26:H31 H22:H24 B9:H19 C6 B6" xr:uid="{00000000-0002-0000-0000-000000000000}">
      <formula1>-99999999999</formula1>
      <formula2>99999999999</formula2>
    </dataValidation>
    <dataValidation operator="greaterThanOrEqual" allowBlank="1" showInputMessage="1" showErrorMessage="1" sqref="H25" xr:uid="{00000000-0002-0000-0000-000001000000}"/>
    <dataValidation showErrorMessage="1" prompt=" _x000a_" sqref="A6" xr:uid="{00000000-0002-0000-0000-000002000000}"/>
    <dataValidation type="whole" operator="greaterThan" allowBlank="1" showInputMessage="1" showErrorMessage="1" prompt="Input ISD Number" sqref="B1" xr:uid="{00000000-0002-0000-0000-000003000000}">
      <formula1>0</formula1>
    </dataValidation>
    <dataValidation allowBlank="1" showInputMessage="1" showErrorMessage="1" prompt="Input ISD Name " sqref="C1:E1" xr:uid="{00000000-0002-0000-0000-000004000000}"/>
    <dataValidation allowBlank="1" showErrorMessage="1" sqref="C2:E3" xr:uid="{00000000-0002-0000-0000-000005000000}"/>
    <dataValidation type="whole" allowBlank="1" showErrorMessage="1" prompt=" " sqref="B2:B3" xr:uid="{00000000-0002-0000-0000-000006000000}">
      <formula1>2020</formula1>
      <formula2>2050</formula2>
    </dataValidation>
  </dataValidations>
  <printOptions horizontalCentered="1"/>
  <pageMargins left="0.25" right="0.25" top="0.2" bottom="0.2" header="0.3" footer="0.3"/>
  <pageSetup scale="9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D16" sqref="D16"/>
    </sheetView>
  </sheetViews>
  <sheetFormatPr defaultColWidth="9.140625" defaultRowHeight="15.75" x14ac:dyDescent="0.25"/>
  <cols>
    <col min="1" max="1" width="9.7109375" style="58" customWidth="1"/>
    <col min="2" max="2" width="10.140625" style="58" customWidth="1"/>
    <col min="3" max="4" width="8.28515625" style="58" customWidth="1"/>
    <col min="5" max="5" width="51.5703125" style="5" customWidth="1"/>
    <col min="6" max="6" width="14.140625" style="5" customWidth="1"/>
    <col min="7" max="7" width="19" style="5" customWidth="1"/>
    <col min="8" max="8" width="19.140625" style="5" customWidth="1"/>
    <col min="9" max="9" width="18.42578125" style="5" customWidth="1"/>
    <col min="10" max="10" width="19.42578125" style="5" customWidth="1"/>
    <col min="11" max="11" width="19.5703125" style="5" customWidth="1"/>
    <col min="12" max="12" width="18.7109375" style="5" customWidth="1"/>
    <col min="13" max="16384" width="9.140625" style="5"/>
  </cols>
  <sheetData>
    <row r="1" spans="1:12" ht="24" customHeight="1" thickBot="1" x14ac:dyDescent="0.3">
      <c r="A1" s="52">
        <f>SchoolLevyBudget!D$2</f>
        <v>2022</v>
      </c>
      <c r="B1" s="52">
        <f>SchoolLevyBudget!D$3</f>
        <v>2023</v>
      </c>
      <c r="C1" s="52">
        <f>SchoolLevyBudget!B1</f>
        <v>2903</v>
      </c>
      <c r="D1" s="52">
        <v>1</v>
      </c>
      <c r="E1" s="45" t="str">
        <f>LEFT("Budget-"&amp;SchoolLevyBudget!A6,40)</f>
        <v>Budget-2903 - Ortonville Public School D</v>
      </c>
      <c r="F1" s="66">
        <f>SchoolLevyBudget!B6</f>
        <v>1102371</v>
      </c>
      <c r="G1" s="66">
        <f>SchoolLevyBudget!C6</f>
        <v>1098498</v>
      </c>
      <c r="H1" s="47"/>
      <c r="I1" s="48"/>
      <c r="J1" s="49"/>
      <c r="K1" s="49"/>
      <c r="L1" s="49"/>
    </row>
    <row r="2" spans="1:12" ht="21" customHeight="1" x14ac:dyDescent="0.25">
      <c r="A2" s="53">
        <f>SchoolLevyBudget!D$2</f>
        <v>2022</v>
      </c>
      <c r="B2" s="53">
        <f>SchoolLevyBudget!D$3</f>
        <v>2023</v>
      </c>
      <c r="C2" s="53">
        <f>SchoolLevyBudget!B$1</f>
        <v>2903</v>
      </c>
      <c r="D2" s="53">
        <v>2</v>
      </c>
      <c r="E2" s="42" t="str">
        <f>LEFT("Budget-"&amp;SchoolLevyBudget!A9,40)</f>
        <v>Budget-General Fund/Restricted</v>
      </c>
      <c r="F2" s="67">
        <f>SchoolLevyBudget!B9</f>
        <v>396842</v>
      </c>
      <c r="G2" s="67">
        <f>SchoolLevyBudget!C9</f>
        <v>513682</v>
      </c>
      <c r="H2" s="67">
        <f>SchoolLevyBudget!D9</f>
        <v>552837</v>
      </c>
      <c r="I2" s="67">
        <f>SchoolLevyBudget!E9</f>
        <v>357687</v>
      </c>
      <c r="J2" s="67">
        <f>SchoolLevyBudget!F9</f>
        <v>280734</v>
      </c>
      <c r="K2" s="67">
        <f>SchoolLevyBudget!G9</f>
        <v>328423</v>
      </c>
      <c r="L2" s="67">
        <f>SchoolLevyBudget!H9</f>
        <v>309998</v>
      </c>
    </row>
    <row r="3" spans="1:12" ht="21" customHeight="1" x14ac:dyDescent="0.25">
      <c r="A3" s="53">
        <f>SchoolLevyBudget!D$2</f>
        <v>2022</v>
      </c>
      <c r="B3" s="53">
        <f>SchoolLevyBudget!D$3</f>
        <v>2023</v>
      </c>
      <c r="C3" s="53">
        <f>SchoolLevyBudget!B$1</f>
        <v>2903</v>
      </c>
      <c r="D3" s="53">
        <v>3</v>
      </c>
      <c r="E3" s="42" t="str">
        <f>LEFT("Budget-"&amp;SchoolLevyBudget!A10,40)</f>
        <v>Budget-General Fund/Other</v>
      </c>
      <c r="F3" s="66">
        <f>SchoolLevyBudget!B10</f>
        <v>1405418</v>
      </c>
      <c r="G3" s="66">
        <f>SchoolLevyBudget!C10</f>
        <v>7664323</v>
      </c>
      <c r="H3" s="66">
        <f>SchoolLevyBudget!D10</f>
        <v>7605865</v>
      </c>
      <c r="I3" s="66">
        <f>SchoolLevyBudget!E10</f>
        <v>1463876</v>
      </c>
      <c r="J3" s="66">
        <f>SchoolLevyBudget!F10</f>
        <v>6624171</v>
      </c>
      <c r="K3" s="66">
        <f>SchoolLevyBudget!G10</f>
        <v>6653530</v>
      </c>
      <c r="L3" s="66">
        <f>SchoolLevyBudget!H10</f>
        <v>1434517</v>
      </c>
    </row>
    <row r="4" spans="1:12" ht="21" customHeight="1" x14ac:dyDescent="0.25">
      <c r="A4" s="53">
        <f>SchoolLevyBudget!D$2</f>
        <v>2022</v>
      </c>
      <c r="B4" s="53">
        <f>SchoolLevyBudget!D$3</f>
        <v>2023</v>
      </c>
      <c r="C4" s="53">
        <f>SchoolLevyBudget!B$1</f>
        <v>2903</v>
      </c>
      <c r="D4" s="53">
        <v>4</v>
      </c>
      <c r="E4" s="42" t="str">
        <f>LEFT("Budget-"&amp;SchoolLevyBudget!A11,40)</f>
        <v>Budget-Food Service Fund</v>
      </c>
      <c r="F4" s="66">
        <f>SchoolLevyBudget!B11</f>
        <v>39711</v>
      </c>
      <c r="G4" s="66">
        <f>SchoolLevyBudget!C11</f>
        <v>410213</v>
      </c>
      <c r="H4" s="66">
        <f>SchoolLevyBudget!D11</f>
        <v>351058</v>
      </c>
      <c r="I4" s="66">
        <f>SchoolLevyBudget!E11</f>
        <v>98866</v>
      </c>
      <c r="J4" s="66">
        <f>SchoolLevyBudget!F11</f>
        <v>379600</v>
      </c>
      <c r="K4" s="66">
        <f>SchoolLevyBudget!G11</f>
        <v>371775</v>
      </c>
      <c r="L4" s="66">
        <f>SchoolLevyBudget!H11</f>
        <v>106691</v>
      </c>
    </row>
    <row r="5" spans="1:12" ht="21" customHeight="1" x14ac:dyDescent="0.25">
      <c r="A5" s="53">
        <f>SchoolLevyBudget!D$2</f>
        <v>2022</v>
      </c>
      <c r="B5" s="53">
        <f>SchoolLevyBudget!D$3</f>
        <v>2023</v>
      </c>
      <c r="C5" s="53">
        <f>SchoolLevyBudget!B$1</f>
        <v>2903</v>
      </c>
      <c r="D5" s="53">
        <v>5</v>
      </c>
      <c r="E5" s="42" t="str">
        <f>LEFT("Budget-"&amp;SchoolLevyBudget!A12,40)</f>
        <v>Budget-Community Service Fund</v>
      </c>
      <c r="F5" s="66">
        <f>SchoolLevyBudget!B12</f>
        <v>10406</v>
      </c>
      <c r="G5" s="66">
        <f>SchoolLevyBudget!C12</f>
        <v>183806</v>
      </c>
      <c r="H5" s="66">
        <f>SchoolLevyBudget!D12</f>
        <v>210070</v>
      </c>
      <c r="I5" s="66">
        <f>SchoolLevyBudget!E12</f>
        <v>-15858</v>
      </c>
      <c r="J5" s="66">
        <f>SchoolLevyBudget!F12</f>
        <v>172371</v>
      </c>
      <c r="K5" s="66">
        <f>SchoolLevyBudget!G12</f>
        <v>212216</v>
      </c>
      <c r="L5" s="66">
        <f>SchoolLevyBudget!H12</f>
        <v>-55703</v>
      </c>
    </row>
    <row r="6" spans="1:12" ht="21" customHeight="1" x14ac:dyDescent="0.25">
      <c r="A6" s="53">
        <f>SchoolLevyBudget!D$2</f>
        <v>2022</v>
      </c>
      <c r="B6" s="53">
        <f>SchoolLevyBudget!D$3</f>
        <v>2023</v>
      </c>
      <c r="C6" s="53">
        <f>SchoolLevyBudget!B$1</f>
        <v>2903</v>
      </c>
      <c r="D6" s="53">
        <v>6</v>
      </c>
      <c r="E6" s="42" t="str">
        <f>LEFT("Budget-"&amp;SchoolLevyBudget!A13,40)</f>
        <v>Budget-Building Construction Fund</v>
      </c>
      <c r="F6" s="66">
        <f>SchoolLevyBudget!B13</f>
        <v>1266130</v>
      </c>
      <c r="G6" s="66">
        <f>SchoolLevyBudget!C13</f>
        <v>2546574</v>
      </c>
      <c r="H6" s="66">
        <f>SchoolLevyBudget!D13</f>
        <v>426102</v>
      </c>
      <c r="I6" s="66">
        <f>SchoolLevyBudget!E13</f>
        <v>3386602</v>
      </c>
      <c r="J6" s="66">
        <f>SchoolLevyBudget!F13</f>
        <v>5000</v>
      </c>
      <c r="K6" s="66">
        <f>SchoolLevyBudget!G13</f>
        <v>2270063</v>
      </c>
      <c r="L6" s="66">
        <f>SchoolLevyBudget!H13</f>
        <v>1121539</v>
      </c>
    </row>
    <row r="7" spans="1:12" ht="21" customHeight="1" x14ac:dyDescent="0.25">
      <c r="A7" s="53">
        <f>SchoolLevyBudget!D$2</f>
        <v>2022</v>
      </c>
      <c r="B7" s="53">
        <f>SchoolLevyBudget!D$3</f>
        <v>2023</v>
      </c>
      <c r="C7" s="53">
        <f>SchoolLevyBudget!B$1</f>
        <v>2903</v>
      </c>
      <c r="D7" s="53">
        <v>7</v>
      </c>
      <c r="E7" s="42" t="str">
        <f>LEFT("Budget-"&amp;SchoolLevyBudget!A14,40)</f>
        <v>Budget-Debt Service Fund</v>
      </c>
      <c r="F7" s="66">
        <f>SchoolLevyBudget!B14</f>
        <v>565958</v>
      </c>
      <c r="G7" s="66">
        <f>SchoolLevyBudget!C14</f>
        <v>239437</v>
      </c>
      <c r="H7" s="66">
        <f>SchoolLevyBudget!D14</f>
        <v>176739</v>
      </c>
      <c r="I7" s="66">
        <f>SchoolLevyBudget!E14</f>
        <v>628656</v>
      </c>
      <c r="J7" s="66">
        <f>SchoolLevyBudget!F14</f>
        <v>552264</v>
      </c>
      <c r="K7" s="66">
        <f>SchoolLevyBudget!G14</f>
        <v>593958</v>
      </c>
      <c r="L7" s="66">
        <f>SchoolLevyBudget!H14</f>
        <v>586962</v>
      </c>
    </row>
    <row r="8" spans="1:12" ht="21" customHeight="1" x14ac:dyDescent="0.25">
      <c r="A8" s="53">
        <f>SchoolLevyBudget!D$2</f>
        <v>2022</v>
      </c>
      <c r="B8" s="53">
        <f>SchoolLevyBudget!D$3</f>
        <v>2023</v>
      </c>
      <c r="C8" s="53">
        <f>SchoolLevyBudget!B$1</f>
        <v>2903</v>
      </c>
      <c r="D8" s="53">
        <v>8</v>
      </c>
      <c r="E8" s="42" t="str">
        <f>LEFT("Budget-"&amp;SchoolLevyBudget!A15,40)</f>
        <v>Budget-Trust Fund</v>
      </c>
      <c r="F8" s="66">
        <f>SchoolLevyBudget!B15</f>
        <v>0</v>
      </c>
      <c r="G8" s="66">
        <f>SchoolLevyBudget!C15</f>
        <v>0</v>
      </c>
      <c r="H8" s="66">
        <f>SchoolLevyBudget!D15</f>
        <v>0</v>
      </c>
      <c r="I8" s="66">
        <f>SchoolLevyBudget!E15</f>
        <v>0</v>
      </c>
      <c r="J8" s="66">
        <f>SchoolLevyBudget!F15</f>
        <v>0</v>
      </c>
      <c r="K8" s="66">
        <f>SchoolLevyBudget!G15</f>
        <v>0</v>
      </c>
      <c r="L8" s="66">
        <f>SchoolLevyBudget!H15</f>
        <v>0</v>
      </c>
    </row>
    <row r="9" spans="1:12" ht="21" customHeight="1" x14ac:dyDescent="0.25">
      <c r="A9" s="53">
        <f>SchoolLevyBudget!D$2</f>
        <v>2022</v>
      </c>
      <c r="B9" s="53">
        <f>SchoolLevyBudget!D$3</f>
        <v>2023</v>
      </c>
      <c r="C9" s="53">
        <f>SchoolLevyBudget!B$1</f>
        <v>2903</v>
      </c>
      <c r="D9" s="53">
        <v>9</v>
      </c>
      <c r="E9" s="42" t="str">
        <f>LEFT("Budget-"&amp;SchoolLevyBudget!A16,40)</f>
        <v>Budget-Internal Service Fund</v>
      </c>
      <c r="F9" s="66">
        <f>SchoolLevyBudget!B16</f>
        <v>0</v>
      </c>
      <c r="G9" s="66">
        <f>SchoolLevyBudget!C16</f>
        <v>0</v>
      </c>
      <c r="H9" s="66">
        <f>SchoolLevyBudget!D16</f>
        <v>0</v>
      </c>
      <c r="I9" s="66">
        <f>SchoolLevyBudget!E16</f>
        <v>0</v>
      </c>
      <c r="J9" s="66">
        <f>SchoolLevyBudget!F16</f>
        <v>0</v>
      </c>
      <c r="K9" s="66">
        <f>SchoolLevyBudget!G16</f>
        <v>0</v>
      </c>
      <c r="L9" s="66">
        <f>SchoolLevyBudget!H16</f>
        <v>0</v>
      </c>
    </row>
    <row r="10" spans="1:12" ht="21" customHeight="1" x14ac:dyDescent="0.25">
      <c r="A10" s="53">
        <f>SchoolLevyBudget!D$2</f>
        <v>2022</v>
      </c>
      <c r="B10" s="53">
        <f>SchoolLevyBudget!D$3</f>
        <v>2023</v>
      </c>
      <c r="C10" s="53">
        <f>SchoolLevyBudget!B$1</f>
        <v>2903</v>
      </c>
      <c r="D10" s="53">
        <v>10</v>
      </c>
      <c r="E10" s="42" t="str">
        <f>LEFT("Budget-"&amp;SchoolLevyBudget!A17,40)</f>
        <v>Budget-* OPEB Revocable Trust Fund</v>
      </c>
      <c r="F10" s="66">
        <f>SchoolLevyBudget!B17</f>
        <v>0</v>
      </c>
      <c r="G10" s="66">
        <f>SchoolLevyBudget!C17</f>
        <v>0</v>
      </c>
      <c r="H10" s="66">
        <f>SchoolLevyBudget!D17</f>
        <v>0</v>
      </c>
      <c r="I10" s="66">
        <f>SchoolLevyBudget!E17</f>
        <v>0</v>
      </c>
      <c r="J10" s="66">
        <f>SchoolLevyBudget!F17</f>
        <v>0</v>
      </c>
      <c r="K10" s="66">
        <f>SchoolLevyBudget!G17</f>
        <v>0</v>
      </c>
      <c r="L10" s="66">
        <f>SchoolLevyBudget!H17</f>
        <v>0</v>
      </c>
    </row>
    <row r="11" spans="1:12" ht="21" customHeight="1" x14ac:dyDescent="0.25">
      <c r="A11" s="53">
        <f>SchoolLevyBudget!D$2</f>
        <v>2022</v>
      </c>
      <c r="B11" s="53">
        <f>SchoolLevyBudget!D$3</f>
        <v>2023</v>
      </c>
      <c r="C11" s="53">
        <f>SchoolLevyBudget!B$1</f>
        <v>2903</v>
      </c>
      <c r="D11" s="53">
        <v>11</v>
      </c>
      <c r="E11" s="42" t="str">
        <f>LEFT("Budget-"&amp;SchoolLevyBudget!A18,40)</f>
        <v>Budget-OPEB Irrevocable Trust Fund</v>
      </c>
      <c r="F11" s="66">
        <f>SchoolLevyBudget!B18</f>
        <v>0</v>
      </c>
      <c r="G11" s="66">
        <f>SchoolLevyBudget!C18</f>
        <v>0</v>
      </c>
      <c r="H11" s="66">
        <f>SchoolLevyBudget!D18</f>
        <v>0</v>
      </c>
      <c r="I11" s="66">
        <f>SchoolLevyBudget!E18</f>
        <v>0</v>
      </c>
      <c r="J11" s="66">
        <f>SchoolLevyBudget!F18</f>
        <v>0</v>
      </c>
      <c r="K11" s="66">
        <f>SchoolLevyBudget!G18</f>
        <v>0</v>
      </c>
      <c r="L11" s="66">
        <f>SchoolLevyBudget!H18</f>
        <v>0</v>
      </c>
    </row>
    <row r="12" spans="1:12" ht="21" customHeight="1" thickBot="1" x14ac:dyDescent="0.3">
      <c r="A12" s="52">
        <f>SchoolLevyBudget!D$2</f>
        <v>2022</v>
      </c>
      <c r="B12" s="52">
        <f>SchoolLevyBudget!D$3</f>
        <v>2023</v>
      </c>
      <c r="C12" s="52">
        <f>SchoolLevyBudget!B$1</f>
        <v>2903</v>
      </c>
      <c r="D12" s="52">
        <v>12</v>
      </c>
      <c r="E12" s="45" t="str">
        <f>LEFT("Budget-"&amp;SchoolLevyBudget!A19,40)</f>
        <v>Budget-OPEB Debt Service Fund</v>
      </c>
      <c r="F12" s="66">
        <f>SchoolLevyBudget!B19</f>
        <v>0</v>
      </c>
      <c r="G12" s="66">
        <f>SchoolLevyBudget!C19</f>
        <v>0</v>
      </c>
      <c r="H12" s="66">
        <f>SchoolLevyBudget!D19</f>
        <v>0</v>
      </c>
      <c r="I12" s="66">
        <f>SchoolLevyBudget!E19</f>
        <v>0</v>
      </c>
      <c r="J12" s="66">
        <f>SchoolLevyBudget!F19</f>
        <v>0</v>
      </c>
      <c r="K12" s="66">
        <f>SchoolLevyBudget!G19</f>
        <v>0</v>
      </c>
      <c r="L12" s="66">
        <f>SchoolLevyBudget!H19</f>
        <v>0</v>
      </c>
    </row>
    <row r="13" spans="1:12" ht="21" customHeight="1" x14ac:dyDescent="0.25">
      <c r="A13" s="53">
        <f>SchoolLevyBudget!D$2</f>
        <v>2022</v>
      </c>
      <c r="B13" s="53">
        <f>SchoolLevyBudget!D$3</f>
        <v>2023</v>
      </c>
      <c r="C13" s="53">
        <f>SchoolLevyBudget!B$1</f>
        <v>2903</v>
      </c>
      <c r="D13" s="53">
        <v>13</v>
      </c>
      <c r="E13" s="42" t="str">
        <f>"STD-"&amp;SchoolLevyBudget!B22</f>
        <v>STD-Outstanding July 1, 2021</v>
      </c>
      <c r="F13" s="67">
        <f>SchoolLevyBudget!H22</f>
        <v>1992000</v>
      </c>
      <c r="G13" s="50"/>
      <c r="H13" s="50"/>
      <c r="I13" s="50"/>
      <c r="J13" s="50"/>
      <c r="K13" s="50"/>
      <c r="L13" s="50"/>
    </row>
    <row r="14" spans="1:12" ht="21" customHeight="1" x14ac:dyDescent="0.25">
      <c r="A14" s="53">
        <f>SchoolLevyBudget!D$2</f>
        <v>2022</v>
      </c>
      <c r="B14" s="53">
        <f>SchoolLevyBudget!D$3</f>
        <v>2023</v>
      </c>
      <c r="C14" s="53">
        <f>SchoolLevyBudget!B$1</f>
        <v>2903</v>
      </c>
      <c r="D14" s="53">
        <v>14</v>
      </c>
      <c r="E14" s="42" t="str">
        <f>"STD-"&amp;SchoolLevyBudget!B23</f>
        <v>STD-Plus:  New Issues</v>
      </c>
      <c r="F14" s="66">
        <f>SchoolLevyBudget!H23</f>
        <v>2725000</v>
      </c>
      <c r="G14" s="49"/>
      <c r="H14" s="49"/>
      <c r="I14" s="49"/>
      <c r="J14" s="49"/>
      <c r="K14" s="49"/>
      <c r="L14" s="49"/>
    </row>
    <row r="15" spans="1:12" ht="21" customHeight="1" x14ac:dyDescent="0.25">
      <c r="A15" s="53">
        <f>SchoolLevyBudget!D$2</f>
        <v>2022</v>
      </c>
      <c r="B15" s="53">
        <f>SchoolLevyBudget!D$3</f>
        <v>2023</v>
      </c>
      <c r="C15" s="53">
        <f>SchoolLevyBudget!B$1</f>
        <v>2903</v>
      </c>
      <c r="D15" s="53">
        <v>15</v>
      </c>
      <c r="E15" s="42" t="str">
        <f>"STD-"&amp;SchoolLevyBudget!B24</f>
        <v>STD-Less:  Redeemed Issues</v>
      </c>
      <c r="F15" s="66">
        <f>SchoolLevyBudget!H24</f>
        <v>132000</v>
      </c>
      <c r="G15" s="49"/>
      <c r="H15" s="49"/>
      <c r="I15" s="49"/>
      <c r="J15" s="49"/>
      <c r="K15" s="49"/>
      <c r="L15" s="49"/>
    </row>
    <row r="16" spans="1:12" ht="21" customHeight="1" thickBot="1" x14ac:dyDescent="0.3">
      <c r="A16" s="52">
        <f>SchoolLevyBudget!D$2</f>
        <v>2022</v>
      </c>
      <c r="B16" s="52">
        <f>SchoolLevyBudget!D$3</f>
        <v>2023</v>
      </c>
      <c r="C16" s="53">
        <f>SchoolLevyBudget!B$1</f>
        <v>2903</v>
      </c>
      <c r="D16" s="53">
        <v>16</v>
      </c>
      <c r="E16" s="42" t="str">
        <f>"STD-"&amp;SchoolLevyBudget!B25</f>
        <v>STD-Outstanding June 30, 2022</v>
      </c>
      <c r="F16" s="68">
        <f>IFERROR(F13+F14-F15,0)</f>
        <v>4585000</v>
      </c>
      <c r="G16" s="49"/>
      <c r="H16" s="49"/>
      <c r="I16" s="49"/>
      <c r="J16" s="49"/>
      <c r="K16" s="49"/>
      <c r="L16" s="49"/>
    </row>
    <row r="17" spans="1:12" ht="21" customHeight="1" x14ac:dyDescent="0.25">
      <c r="A17" s="53">
        <f>SchoolLevyBudget!D$2</f>
        <v>2022</v>
      </c>
      <c r="B17" s="53">
        <f>SchoolLevyBudget!D$3</f>
        <v>2023</v>
      </c>
      <c r="C17" s="54">
        <f>SchoolLevyBudget!B$1</f>
        <v>2903</v>
      </c>
      <c r="D17" s="54">
        <v>17</v>
      </c>
      <c r="E17" s="44" t="str">
        <f>"STD-"&amp;SchoolLevyBudget!B26</f>
        <v>STD-Certificates of Indebtedness</v>
      </c>
      <c r="F17" s="67">
        <f>SchoolLevyBudget!H26</f>
        <v>0</v>
      </c>
      <c r="G17" s="49"/>
      <c r="H17" s="49"/>
      <c r="I17" s="49"/>
      <c r="J17" s="49"/>
      <c r="K17" s="49"/>
      <c r="L17" s="49"/>
    </row>
    <row r="18" spans="1:12" ht="21" customHeight="1" thickBot="1" x14ac:dyDescent="0.3">
      <c r="A18" s="52">
        <f>SchoolLevyBudget!D$2</f>
        <v>2022</v>
      </c>
      <c r="B18" s="52">
        <f>SchoolLevyBudget!D$3</f>
        <v>2023</v>
      </c>
      <c r="C18" s="55">
        <f>SchoolLevyBudget!B$1</f>
        <v>2903</v>
      </c>
      <c r="D18" s="55">
        <v>18</v>
      </c>
      <c r="E18" s="61" t="str">
        <f>"STD-"&amp;SchoolLevyBudget!B27</f>
        <v>STD-Other Short-Term Indebtedness</v>
      </c>
      <c r="F18" s="66">
        <f>SchoolLevyBudget!H27</f>
        <v>0</v>
      </c>
      <c r="G18" s="49"/>
      <c r="H18" s="49"/>
      <c r="I18" s="49"/>
      <c r="J18" s="49"/>
      <c r="K18" s="49"/>
      <c r="L18" s="49"/>
    </row>
    <row r="19" spans="1:12" ht="32.25" customHeight="1" thickBot="1" x14ac:dyDescent="0.3">
      <c r="A19" s="52">
        <f>SchoolLevyBudget!D$2</f>
        <v>2022</v>
      </c>
      <c r="B19" s="52">
        <f>SchoolLevyBudget!D$3</f>
        <v>2023</v>
      </c>
      <c r="C19" s="64">
        <f>SchoolLevyBudget!B$1</f>
        <v>2903</v>
      </c>
      <c r="D19" s="64">
        <v>19</v>
      </c>
      <c r="E19" s="65" t="str">
        <f>LEFT("CSOpDebt-"&amp;SchoolLevyBudget!B28,40)</f>
        <v>CSOpDebt-Amount of General Fund Deficit,</v>
      </c>
      <c r="F19" s="67">
        <f>SchoolLevyBudget!H28</f>
        <v>0</v>
      </c>
      <c r="G19" s="49"/>
      <c r="H19" s="49"/>
      <c r="I19" s="49"/>
      <c r="J19" s="49"/>
      <c r="K19" s="49"/>
      <c r="L19" s="49"/>
    </row>
    <row r="20" spans="1:12" ht="21" customHeight="1" x14ac:dyDescent="0.25">
      <c r="A20" s="53">
        <f>SchoolLevyBudget!D$2</f>
        <v>2022</v>
      </c>
      <c r="B20" s="53">
        <f>SchoolLevyBudget!D$3</f>
        <v>2023</v>
      </c>
      <c r="C20" s="54">
        <f>SchoolLevyBudget!B$1</f>
        <v>2903</v>
      </c>
      <c r="D20" s="54">
        <v>20</v>
      </c>
      <c r="E20" s="51" t="str">
        <f>LEFT("Cst/Stud-"&amp;SchoolLevyBudget!B29,40)</f>
        <v>Cst/Stud-Total Operating Expenditures</v>
      </c>
      <c r="F20" s="67">
        <f>SchoolLevyBudget!H29</f>
        <v>7614156</v>
      </c>
      <c r="G20" s="49"/>
      <c r="H20" s="49"/>
      <c r="I20" s="49"/>
      <c r="J20" s="49"/>
      <c r="K20" s="49"/>
      <c r="L20" s="49"/>
    </row>
    <row r="21" spans="1:12" ht="21" customHeight="1" x14ac:dyDescent="0.25">
      <c r="A21" s="53">
        <f>SchoolLevyBudget!D$2</f>
        <v>2022</v>
      </c>
      <c r="B21" s="53">
        <f>SchoolLevyBudget!D$3</f>
        <v>2023</v>
      </c>
      <c r="C21" s="53">
        <f>SchoolLevyBudget!B$1</f>
        <v>2903</v>
      </c>
      <c r="D21" s="55">
        <v>21</v>
      </c>
      <c r="E21" s="43" t="str">
        <f>LEFT("Cst/Stud-"&amp;SchoolLevyBudget!B30,40)</f>
        <v>Cst/Stud-FY 2021 Total ADM Served + Tuit</v>
      </c>
      <c r="F21" s="66">
        <f>SchoolLevyBudget!H30</f>
        <v>479</v>
      </c>
      <c r="G21" s="49"/>
      <c r="H21" s="49"/>
      <c r="I21" s="49"/>
      <c r="J21" s="49"/>
      <c r="K21" s="49"/>
      <c r="L21" s="49"/>
    </row>
    <row r="22" spans="1:12" ht="21" customHeight="1" thickBot="1" x14ac:dyDescent="0.3">
      <c r="A22" s="52">
        <f>SchoolLevyBudget!D$2</f>
        <v>2022</v>
      </c>
      <c r="B22" s="52">
        <f>SchoolLevyBudget!D$3</f>
        <v>2023</v>
      </c>
      <c r="C22" s="52">
        <f>SchoolLevyBudget!B$1</f>
        <v>2903</v>
      </c>
      <c r="D22" s="52">
        <v>22</v>
      </c>
      <c r="E22" s="46" t="str">
        <f>LEFT("Cst/Stud-"&amp;SchoolLevyBudget!B31,40)</f>
        <v>Cst/Stud-FY 2021 Operating Cost per ADM</v>
      </c>
      <c r="F22" s="68">
        <f>SchoolLevyBudget!H31</f>
        <v>15881</v>
      </c>
      <c r="G22" s="49"/>
      <c r="H22" s="49"/>
      <c r="I22" s="49"/>
      <c r="J22" s="49"/>
      <c r="K22" s="49"/>
      <c r="L22" s="49"/>
    </row>
  </sheetData>
  <sheetProtection algorithmName="SHA-512" hashValue="qMQi4vwHMi2eCuzH48g5yZd/EIL6d7I4mPBcaSOwJa233L0Ere03eLor7Tn+XxmbFAwvdeEzaIAe73bWV28Duw==" saltValue="n5ihfV/o9R7be7MEaIj4EQ==" spinCount="100000" sheet="1" objects="1" scenarios="1" selectLockedCells="1"/>
  <dataValidations count="2">
    <dataValidation operator="greaterThanOrEqual" allowBlank="1" showInputMessage="1" showErrorMessage="1" sqref="F16" xr:uid="{00000000-0002-0000-0100-000000000000}"/>
    <dataValidation type="whole" operator="greaterThanOrEqual" allowBlank="1" showInputMessage="1" showErrorMessage="1" sqref="F2:F15 G2:L12 F17:F22" xr:uid="{00000000-0002-0000-0100-000001000000}">
      <formula1>0</formula1>
    </dataValidation>
  </dataValidations>
  <printOptions horizontalCentered="1"/>
  <pageMargins left="0.25" right="0.25" top="0.2" bottom="0.2" header="0.3" footer="0.3"/>
  <pageSetup scale="9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SchoolLevyBudget</vt:lpstr>
      <vt:lpstr>Data</vt:lpstr>
      <vt:lpstr>Data!Print_Area</vt:lpstr>
      <vt:lpstr>SchoolLevyBudget!Print_Area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Helm</dc:creator>
  <cp:lastModifiedBy>Angie Djonne</cp:lastModifiedBy>
  <cp:lastPrinted>2022-04-24T12:48:06Z</cp:lastPrinted>
  <dcterms:created xsi:type="dcterms:W3CDTF">2022-01-06T16:22:00Z</dcterms:created>
  <dcterms:modified xsi:type="dcterms:W3CDTF">2022-10-27T16:19:30Z</dcterms:modified>
</cp:coreProperties>
</file>